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32\"/>
    </mc:Choice>
  </mc:AlternateContent>
  <bookViews>
    <workbookView xWindow="0" yWindow="0" windowWidth="19305" windowHeight="8085"/>
  </bookViews>
  <sheets>
    <sheet name="CT3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3" i="1" l="1"/>
  <c r="Z16" i="1"/>
  <c r="Y16" i="1"/>
  <c r="Y15" i="1"/>
  <c r="Z15" i="1" s="1"/>
  <c r="Z14" i="1"/>
  <c r="Y14" i="1"/>
  <c r="Y13" i="1"/>
  <c r="Z13" i="1" s="1"/>
  <c r="Z12" i="1"/>
  <c r="Y12" i="1"/>
  <c r="Y11" i="1"/>
  <c r="Z11" i="1" s="1"/>
  <c r="Z10" i="1"/>
  <c r="Y10" i="1"/>
  <c r="Y9" i="1"/>
  <c r="Z9" i="1" s="1"/>
  <c r="Z8" i="1"/>
  <c r="Y8" i="1"/>
  <c r="Y7" i="1"/>
  <c r="Z7" i="1" s="1"/>
  <c r="Z6" i="1"/>
  <c r="Y6" i="1"/>
  <c r="Y5" i="1"/>
  <c r="Z5" i="1" s="1"/>
  <c r="Z4" i="1"/>
  <c r="Y4" i="1"/>
  <c r="Y3" i="1"/>
  <c r="Z3" i="1" s="1"/>
  <c r="Z2" i="1"/>
  <c r="Y2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W2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U2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F17" i="1"/>
  <c r="H17" i="1" s="1"/>
  <c r="F16" i="1"/>
  <c r="F15" i="1"/>
  <c r="F14" i="1"/>
  <c r="F13" i="1"/>
  <c r="H13" i="1" s="1"/>
  <c r="F12" i="1"/>
  <c r="F11" i="1"/>
  <c r="F10" i="1"/>
  <c r="F9" i="1"/>
  <c r="H9" i="1" s="1"/>
  <c r="F8" i="1"/>
  <c r="F7" i="1"/>
  <c r="F6" i="1"/>
  <c r="F5" i="1"/>
  <c r="H5" i="1" s="1"/>
  <c r="F4" i="1"/>
  <c r="F3" i="1"/>
  <c r="F2" i="1"/>
  <c r="H2" i="1" s="1"/>
  <c r="H6" i="1" l="1"/>
  <c r="H14" i="1"/>
  <c r="H3" i="1"/>
  <c r="H7" i="1"/>
  <c r="H11" i="1"/>
  <c r="H15" i="1"/>
  <c r="H10" i="1"/>
  <c r="H4" i="1"/>
  <c r="H8" i="1"/>
  <c r="H12" i="1"/>
  <c r="H16" i="1"/>
  <c r="AA16" i="1" l="1"/>
  <c r="AA15" i="1"/>
  <c r="AA14" i="1"/>
  <c r="AA13" i="1"/>
  <c r="AA12" i="1"/>
  <c r="AA11" i="1"/>
  <c r="AA10" i="1"/>
  <c r="AA9" i="1"/>
  <c r="AA8" i="1"/>
  <c r="AA7" i="1"/>
  <c r="AA6" i="1"/>
  <c r="AA5" i="1"/>
  <c r="AA4" i="1"/>
  <c r="AA3" i="1"/>
  <c r="AA2" i="1"/>
  <c r="AE9" i="1"/>
  <c r="AB13" i="1" l="1"/>
  <c r="AB6" i="1"/>
  <c r="AB5" i="1"/>
  <c r="AB10" i="1"/>
  <c r="AB3" i="1"/>
  <c r="AB7" i="1"/>
  <c r="AB11" i="1"/>
  <c r="AB15" i="1"/>
  <c r="AB9" i="1"/>
  <c r="AB2" i="1"/>
  <c r="AB14" i="1"/>
  <c r="AB4" i="1"/>
  <c r="AB8" i="1"/>
  <c r="AB12" i="1"/>
  <c r="AB16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2" i="1"/>
  <c r="AE3" i="1" l="1"/>
  <c r="K16" i="1" s="1"/>
  <c r="K5" i="1" l="1"/>
  <c r="M5" i="1" s="1"/>
  <c r="K6" i="1"/>
  <c r="M6" i="1" s="1"/>
  <c r="K3" i="1"/>
  <c r="M3" i="1" s="1"/>
  <c r="X3" i="1" s="1"/>
  <c r="K8" i="1"/>
  <c r="M8" i="1" s="1"/>
  <c r="X8" i="1" s="1"/>
  <c r="AC8" i="1" s="1"/>
  <c r="M16" i="1"/>
  <c r="K9" i="1"/>
  <c r="K10" i="1"/>
  <c r="K7" i="1"/>
  <c r="K12" i="1"/>
  <c r="K13" i="1"/>
  <c r="K14" i="1"/>
  <c r="K15" i="1"/>
  <c r="K11" i="1"/>
  <c r="K17" i="1"/>
  <c r="K2" i="1"/>
  <c r="K4" i="1"/>
  <c r="O6" i="1"/>
  <c r="T6" i="1"/>
  <c r="X6" i="1"/>
  <c r="AC6" i="1" s="1"/>
  <c r="X16" i="1"/>
  <c r="AC16" i="1" s="1"/>
  <c r="O16" i="1"/>
  <c r="T16" i="1"/>
  <c r="T5" i="1"/>
  <c r="X5" i="1"/>
  <c r="AC5" i="1" s="1"/>
  <c r="O5" i="1"/>
  <c r="T8" i="1"/>
  <c r="O3" i="1"/>
  <c r="O8" i="1" l="1"/>
  <c r="T3" i="1"/>
  <c r="Q16" i="1"/>
  <c r="M10" i="1"/>
  <c r="M4" i="1"/>
  <c r="M15" i="1"/>
  <c r="M9" i="1"/>
  <c r="M2" i="1"/>
  <c r="M14" i="1"/>
  <c r="M12" i="1"/>
  <c r="M11" i="1"/>
  <c r="M17" i="1"/>
  <c r="M13" i="1"/>
  <c r="M7" i="1"/>
  <c r="Q8" i="1"/>
  <c r="Q5" i="1"/>
  <c r="Q6" i="1"/>
  <c r="AC3" i="1"/>
  <c r="Q3" i="1"/>
  <c r="X2" i="1" l="1"/>
  <c r="T2" i="1"/>
  <c r="O2" i="1"/>
  <c r="Q2" i="1" s="1"/>
  <c r="X13" i="1"/>
  <c r="AC13" i="1" s="1"/>
  <c r="O13" i="1"/>
  <c r="T13" i="1"/>
  <c r="O17" i="1"/>
  <c r="X17" i="1"/>
  <c r="O11" i="1"/>
  <c r="T11" i="1"/>
  <c r="X11" i="1"/>
  <c r="AC11" i="1" s="1"/>
  <c r="T14" i="1"/>
  <c r="X14" i="1"/>
  <c r="AC14" i="1" s="1"/>
  <c r="O14" i="1"/>
  <c r="O15" i="1"/>
  <c r="T15" i="1"/>
  <c r="X15" i="1"/>
  <c r="AC15" i="1" s="1"/>
  <c r="X12" i="1"/>
  <c r="AC12" i="1" s="1"/>
  <c r="O12" i="1"/>
  <c r="Q12" i="1" s="1"/>
  <c r="T12" i="1"/>
  <c r="O7" i="1"/>
  <c r="X7" i="1"/>
  <c r="AC7" i="1" s="1"/>
  <c r="T7" i="1"/>
  <c r="T9" i="1"/>
  <c r="O9" i="1"/>
  <c r="Q9" i="1" s="1"/>
  <c r="X9" i="1"/>
  <c r="AC9" i="1" s="1"/>
  <c r="O4" i="1"/>
  <c r="Q4" i="1" s="1"/>
  <c r="T4" i="1"/>
  <c r="X4" i="1"/>
  <c r="AC4" i="1" s="1"/>
  <c r="O10" i="1"/>
  <c r="T10" i="1"/>
  <c r="X10" i="1"/>
  <c r="AC10" i="1" s="1"/>
  <c r="Q15" i="1" l="1"/>
  <c r="AC2" i="1"/>
  <c r="AC23" i="1" s="1"/>
  <c r="X23" i="1"/>
  <c r="V15" i="1"/>
  <c r="Q10" i="1"/>
  <c r="Q14" i="1"/>
  <c r="Q11" i="1"/>
  <c r="Q17" i="1"/>
  <c r="Q13" i="1"/>
  <c r="Q7" i="1"/>
  <c r="V2" i="1"/>
  <c r="V3" i="1"/>
  <c r="V4" i="1"/>
  <c r="V14" i="1"/>
  <c r="V12" i="1"/>
  <c r="V8" i="1"/>
  <c r="V11" i="1"/>
  <c r="V7" i="1"/>
  <c r="V13" i="1"/>
  <c r="V5" i="1"/>
  <c r="V10" i="1"/>
  <c r="V6" i="1"/>
  <c r="V16" i="1"/>
  <c r="V9" i="1"/>
</calcChain>
</file>

<file path=xl/sharedStrings.xml><?xml version="1.0" encoding="utf-8"?>
<sst xmlns="http://schemas.openxmlformats.org/spreadsheetml/2006/main" count="50" uniqueCount="50">
  <si>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</si>
  <si>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</si>
  <si>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</si>
  <si>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</si>
  <si>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</si>
  <si>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</si>
  <si>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</si>
  <si>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</si>
  <si>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</si>
  <si>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</si>
  <si>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</si>
  <si>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Blk</t>
  </si>
  <si>
    <t>Weight of eluate (g)</t>
  </si>
  <si>
    <t>Weight Corrected Sr-90 Activity (DPM)</t>
  </si>
  <si>
    <t>Cumulative Activity (DPM)</t>
  </si>
  <si>
    <t>Decay constant of sr-90=</t>
  </si>
  <si>
    <t>Time from 19.07.2018</t>
  </si>
  <si>
    <t>DC factor</t>
  </si>
  <si>
    <t>2 ml/min</t>
  </si>
  <si>
    <t>CT32 1 mL</t>
  </si>
  <si>
    <t>CT32 2 mL</t>
  </si>
  <si>
    <t>CT32 3 mL</t>
  </si>
  <si>
    <t>CT32 4 mL</t>
  </si>
  <si>
    <t>CT32 5 mL</t>
  </si>
  <si>
    <t>CT32 6 mL</t>
  </si>
  <si>
    <t>CT32 7 mL</t>
  </si>
  <si>
    <t>CT32 8 mL</t>
  </si>
  <si>
    <t>CT32 9 mL</t>
  </si>
  <si>
    <t>CT32 10 mL</t>
  </si>
  <si>
    <t>CT32 11 mL</t>
  </si>
  <si>
    <t>CT32 12 mL</t>
  </si>
  <si>
    <t>CT32 13 mL</t>
  </si>
  <si>
    <t>CT32 14 mL</t>
  </si>
  <si>
    <t>CT32 15 mL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</si>
  <si>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</si>
  <si>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</si>
  <si>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</si>
  <si>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</si>
  <si>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</si>
  <si>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</si>
  <si>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</si>
  <si>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 (g) σ</t>
  </si>
  <si>
    <t>Weight Corrected Sr-90 Activity (DPM) σ</t>
  </si>
  <si>
    <t>Cumulative Activity (DPM) σ</t>
  </si>
  <si>
    <t>Activity (bq)</t>
  </si>
  <si>
    <t>Activity (Bq) σ</t>
  </si>
  <si>
    <t>Activity (Bq) σ ^2</t>
  </si>
  <si>
    <t>DC to 19.07.2018</t>
  </si>
  <si>
    <t>Sr-90 recovery</t>
  </si>
  <si>
    <t>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</si>
</sst>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22" fontId="0" fillId="0" borderId="0" xfId="0" applyNumberFormat="1"/>
    <xf numFmtId="0" fontId="0" fillId="0" borderId="0" xfId="0" applyFill="1" applyBorder="1"/>
    <xf numFmtId="0" fontId="0" fillId="2" borderId="0" xfId="0" applyFill="1"/>
    <xf numFmtId="0" fontId="0" fillId="3" borderId="2" xfId="0" applyFill="1" applyBorder="1"/>
    <xf numFmtId="0" fontId="0" fillId="3" borderId="3" xfId="0" applyFill="1" applyBorder="1"/>
    <xf numFmtId="0" fontId="0" fillId="3" borderId="1" xfId="0" applyFill="1" applyBorder="1"/>
    <xf numFmtId="0" fontId="0" fillId="3" borderId="0" xfId="0" applyFill="1"/>
    <xf numFmtId="0" fontId="0" fillId="0" borderId="2" xfId="0" applyBorder="1"/>
    <xf numFmtId="0" fontId="0" fillId="0" borderId="2" xfId="0" applyFill="1" applyBorder="1"/>
    <xf numFmtId="0" fontId="0" fillId="0" borderId="4" xfId="0" applyBorder="1"/>
    <xf numFmtId="166" fontId="0" fillId="3" borderId="3" xfId="0" applyNumberFormat="1" applyFill="1" applyBorder="1"/>
    <xf numFmtId="166" fontId="0" fillId="3" borderId="1" xfId="0" applyNumberFormat="1" applyFill="1" applyBorder="1"/>
    <xf numFmtId="0" fontId="1" fillId="0" borderId="0" xfId="0" applyFont="1"/>
    <xf numFmtId="0" fontId="0" fillId="0" borderId="1" xfId="0" applyBorder="1"/>
    <xf numFmtId="22" fontId="0" fillId="0" borderId="1" xfId="0" applyNumberFormat="1" applyBorder="1"/>
    <xf numFmtId="2" fontId="0" fillId="0" borderId="1" xfId="0" applyNumberFormat="1" applyBorder="1"/>
    <xf numFmtId="2" fontId="0" fillId="3" borderId="1" xfId="0" applyNumberFormat="1" applyFill="1" applyBorder="1"/>
    <xf numFmtId="164" fontId="0" fillId="0" borderId="1" xfId="0" applyNumberFormat="1" applyBorder="1"/>
    <xf numFmtId="165" fontId="0" fillId="0" borderId="1" xfId="0" applyNumberFormat="1" applyBorder="1"/>
    <xf numFmtId="0" fontId="0" fillId="0" borderId="3" xfId="0" applyBorder="1"/>
    <xf numFmtId="22" fontId="0" fillId="0" borderId="3" xfId="0" applyNumberFormat="1" applyBorder="1"/>
    <xf numFmtId="2" fontId="0" fillId="0" borderId="3" xfId="0" applyNumberFormat="1" applyBorder="1"/>
    <xf numFmtId="2" fontId="0" fillId="3" borderId="3" xfId="0" applyNumberFormat="1" applyFill="1" applyBorder="1"/>
    <xf numFmtId="164" fontId="0" fillId="0" borderId="3" xfId="0" applyNumberFormat="1" applyBorder="1"/>
    <xf numFmtId="165" fontId="0" fillId="0" borderId="3" xfId="0" applyNumberFormat="1" applyBorder="1"/>
    <xf numFmtId="0" fontId="0" fillId="0" borderId="6" xfId="0" applyBorder="1"/>
    <xf numFmtId="22" fontId="0" fillId="0" borderId="7" xfId="0" applyNumberFormat="1" applyBorder="1"/>
    <xf numFmtId="22" fontId="0" fillId="0" borderId="8" xfId="0" applyNumberFormat="1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tabSelected="1" workbookViewId="0">
      <selection activeCell="D26" sqref="D26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6" width="17.5703125" style="7" customWidth="1"/>
    <col min="7" max="7" width="31.5703125" bestFit="1" customWidth="1"/>
    <col min="8" max="8" width="31.5703125" customWidth="1"/>
    <col min="9" max="9" width="17.7109375" bestFit="1" customWidth="1"/>
    <col min="10" max="12" width="17.7109375" customWidth="1"/>
    <col min="13" max="13" width="12.140625" bestFit="1" customWidth="1"/>
    <col min="14" max="14" width="12.140625" customWidth="1"/>
    <col min="15" max="15" width="12.140625" bestFit="1" customWidth="1"/>
    <col min="16" max="16" width="12.140625" customWidth="1"/>
    <col min="17" max="17" width="12" bestFit="1" customWidth="1"/>
    <col min="18" max="18" width="19" bestFit="1" customWidth="1"/>
    <col min="19" max="19" width="19" customWidth="1"/>
    <col min="20" max="20" width="35.42578125" bestFit="1" customWidth="1"/>
    <col min="21" max="21" width="35.42578125" customWidth="1"/>
    <col min="22" max="22" width="24.7109375" bestFit="1" customWidth="1"/>
    <col min="23" max="23" width="24.7109375" customWidth="1"/>
    <col min="24" max="24" width="12.7109375" bestFit="1" customWidth="1"/>
    <col min="25" max="26" width="12.7109375" customWidth="1"/>
    <col min="27" max="27" width="20" bestFit="1" customWidth="1"/>
    <col min="28" max="28" width="10.5703125" bestFit="1" customWidth="1"/>
    <col min="29" max="29" width="15.42578125" bestFit="1" customWidth="1"/>
    <col min="30" max="30" width="24.7109375" customWidth="1"/>
    <col min="31" max="31" width="22.140625" bestFit="1" customWidth="1"/>
  </cols>
  <sheetData>
    <row r="1" spans="1:31" ht="15.75" thickBot="1" x14ac:dyDescent="0.3">
      <c r="A1" s="29" t="s">
        <v>3</v>
      </c>
      <c r="B1" s="26" t="s">
        <v>5</v>
      </c>
      <c r="C1" s="8" t="s">
        <v>4</v>
      </c>
      <c r="D1" s="8" t="s">
        <v>0</v>
      </c>
      <c r="E1" s="4" t="s">
        <v>34</v>
      </c>
      <c r="F1" s="4" t="s">
        <v>35</v>
      </c>
      <c r="G1" s="8" t="s">
        <v>10</v>
      </c>
      <c r="H1" s="4" t="s">
        <v>36</v>
      </c>
      <c r="I1" s="8" t="s">
        <v>1</v>
      </c>
      <c r="J1" s="4" t="s">
        <v>37</v>
      </c>
      <c r="K1" s="8" t="s">
        <v>6</v>
      </c>
      <c r="L1" s="4" t="s">
        <v>38</v>
      </c>
      <c r="M1" s="8" t="s">
        <v>7</v>
      </c>
      <c r="N1" s="4" t="s">
        <v>39</v>
      </c>
      <c r="O1" s="8" t="s">
        <v>8</v>
      </c>
      <c r="P1" s="4" t="s">
        <v>40</v>
      </c>
      <c r="Q1" s="8" t="s">
        <v>9</v>
      </c>
      <c r="R1" s="8" t="s">
        <v>12</v>
      </c>
      <c r="S1" s="4" t="s">
        <v>41</v>
      </c>
      <c r="T1" s="9" t="s">
        <v>13</v>
      </c>
      <c r="U1" s="4" t="s">
        <v>42</v>
      </c>
      <c r="V1" s="9" t="s">
        <v>14</v>
      </c>
      <c r="W1" s="4" t="s">
        <v>43</v>
      </c>
      <c r="X1" s="8" t="s">
        <v>44</v>
      </c>
      <c r="Y1" s="4" t="s">
        <v>45</v>
      </c>
      <c r="Z1" s="4" t="s">
        <v>46</v>
      </c>
      <c r="AA1" s="8" t="s">
        <v>16</v>
      </c>
      <c r="AB1" s="8" t="s">
        <v>17</v>
      </c>
      <c r="AC1" s="10" t="s">
        <v>47</v>
      </c>
      <c r="AD1" s="2"/>
    </row>
    <row r="2" spans="1:31" x14ac:dyDescent="0.25">
      <c r="A2" s="30" t="s">
        <v>19</v>
      </c>
      <c r="B2" s="27">
        <v>43362.583333333336</v>
      </c>
      <c r="C2" s="21">
        <v>43363.149305555555</v>
      </c>
      <c r="D2" s="22">
        <v>7.54</v>
      </c>
      <c r="E2" s="23">
        <v>6.73</v>
      </c>
      <c r="F2" s="5">
        <f>D2*(E2/100)</f>
        <v>0.50744199999999995</v>
      </c>
      <c r="G2" s="20">
        <f>D2-$D$17</f>
        <v>-3.0000000000000249E-2</v>
      </c>
      <c r="H2" s="5">
        <f>SQRT((F2^2)+(F$17^2))</f>
        <v>0.71798853624065606</v>
      </c>
      <c r="I2" s="24">
        <f>(C2-B2)*24</f>
        <v>13.583333333255723</v>
      </c>
      <c r="J2" s="11">
        <f>1/60</f>
        <v>1.6666666666666666E-2</v>
      </c>
      <c r="K2" s="20">
        <f>1-EXP(-$AE$3*I2)</f>
        <v>0.14216441256167678</v>
      </c>
      <c r="L2" s="5">
        <f>K2*SQRT(((J2/I2)^2))</f>
        <v>1.7443486203986387E-4</v>
      </c>
      <c r="M2" s="20">
        <f>G2/((1+K2))</f>
        <v>-2.6265920799191642E-2</v>
      </c>
      <c r="N2" s="5">
        <f>M2*SQRT(((H2/G2)^2)+((L2/K2)^2))</f>
        <v>-0.62862100174695046</v>
      </c>
      <c r="O2" s="20">
        <f>M2*K2</f>
        <v>-3.7340792008086075E-3</v>
      </c>
      <c r="P2" s="5">
        <f>O2*SQRT(((N2/M2)^2)+((L2/K2)^2))</f>
        <v>-8.9367535554735048E-2</v>
      </c>
      <c r="Q2" s="20">
        <f>M2+O2</f>
        <v>-3.0000000000000249E-2</v>
      </c>
      <c r="R2" s="20">
        <v>1.0057</v>
      </c>
      <c r="S2" s="5">
        <v>1.4142135623730951E-4</v>
      </c>
      <c r="T2" s="20">
        <f>M2/R2</f>
        <v>-2.6117053593707508E-2</v>
      </c>
      <c r="U2" s="5">
        <f>T2*SQRT(((S2/R2)^2)+((N2/M2)^2))</f>
        <v>-0.62505817018773102</v>
      </c>
      <c r="V2" s="20">
        <f>SUM($T$2:T2)</f>
        <v>-2.6117053593707508E-2</v>
      </c>
      <c r="W2" s="5">
        <f>SQRT((U2^2))</f>
        <v>0.62505817018773102</v>
      </c>
      <c r="X2" s="20">
        <f>M2/60</f>
        <v>-4.37765346653194E-4</v>
      </c>
      <c r="Y2" s="5">
        <f>X2*SQRT(((N2/M2)^2))</f>
        <v>-1.0477016695782507E-2</v>
      </c>
      <c r="Z2" s="5">
        <f>Y2^2</f>
        <v>1.0976787884370539E-4</v>
      </c>
      <c r="AA2" s="20">
        <f>(C2-$AE$6)*24</f>
        <v>159.58333333331393</v>
      </c>
      <c r="AB2" s="25">
        <f>EXP(-$AE$9*AA2)</f>
        <v>0.99956164981371554</v>
      </c>
      <c r="AC2" s="20">
        <f>X2/AB2</f>
        <v>-4.3795732532833631E-4</v>
      </c>
      <c r="AE2" t="s">
        <v>2</v>
      </c>
    </row>
    <row r="3" spans="1:31" x14ac:dyDescent="0.25">
      <c r="A3" s="31" t="s">
        <v>20</v>
      </c>
      <c r="B3" s="28">
        <v>43362.583680555559</v>
      </c>
      <c r="C3" s="15">
        <v>43363.171527777777</v>
      </c>
      <c r="D3" s="16">
        <v>8.66</v>
      </c>
      <c r="E3" s="17">
        <v>6.27</v>
      </c>
      <c r="F3" s="6">
        <f t="shared" ref="F3:F17" si="0">D3*(E3/100)</f>
        <v>0.54298199999999996</v>
      </c>
      <c r="G3" s="14">
        <f t="shared" ref="G3:G17" si="1">D3-$D$17</f>
        <v>1.0899999999999999</v>
      </c>
      <c r="H3" s="6">
        <f t="shared" ref="H3:H17" si="2">SQRT((F3^2)+(F$17^2))</f>
        <v>0.7435318467510319</v>
      </c>
      <c r="I3" s="18">
        <f t="shared" ref="I3:I17" si="3">(C3-B3)*24</f>
        <v>14.108333333220799</v>
      </c>
      <c r="J3" s="12">
        <f t="shared" ref="J3:J17" si="4">1/60</f>
        <v>1.6666666666666666E-2</v>
      </c>
      <c r="K3" s="14">
        <f>1-EXP(-$AE$3*I3)</f>
        <v>0.1472335505238711</v>
      </c>
      <c r="L3" s="6">
        <f t="shared" ref="L3:L17" si="5">K3*SQRT(((J3/I3)^2))</f>
        <v>1.7393213292976432E-4</v>
      </c>
      <c r="M3" s="14">
        <f>G3/((1+K3))</f>
        <v>0.95011168345125874</v>
      </c>
      <c r="N3" s="6">
        <f t="shared" ref="N3:N17" si="6">M3*SQRT(((H3/G3)^2)+((L3/K3)^2))</f>
        <v>0.64810949906136495</v>
      </c>
      <c r="O3" s="14">
        <f>M3*K3</f>
        <v>0.13988831654874112</v>
      </c>
      <c r="P3" s="6">
        <f t="shared" ref="P3:P17" si="7">O3*SQRT(((N3/M3)^2)+((L3/K3)^2))</f>
        <v>9.5423605769726222E-2</v>
      </c>
      <c r="Q3" s="14">
        <f t="shared" ref="Q3:Q17" si="8">M3+O3</f>
        <v>1.0899999999999999</v>
      </c>
      <c r="R3" s="14">
        <v>1.0157999999999996</v>
      </c>
      <c r="S3" s="6">
        <v>1.4142135623730951E-4</v>
      </c>
      <c r="T3" s="14">
        <f>M3/R3</f>
        <v>0.93533341548657134</v>
      </c>
      <c r="U3" s="6">
        <f t="shared" ref="U3:U16" si="9">T3*SQRT(((S3/R3)^2)+((N3/M3)^2))</f>
        <v>0.6380286597360052</v>
      </c>
      <c r="V3" s="14">
        <f>SUM($T$2:T3)</f>
        <v>0.90921636189286381</v>
      </c>
      <c r="W3" s="6">
        <f>SQRT((U3^2)+(U2^2))</f>
        <v>0.89318435205894509</v>
      </c>
      <c r="X3" s="14">
        <f t="shared" ref="X3:X17" si="10">M3/60</f>
        <v>1.5835194724187644E-2</v>
      </c>
      <c r="Y3" s="6">
        <f t="shared" ref="Y3:Y16" si="11">X3*SQRT(((N3/M3)^2))</f>
        <v>1.0801824984356081E-2</v>
      </c>
      <c r="Z3" s="6">
        <f t="shared" ref="Z3:Z16" si="12">Y3^2</f>
        <v>1.1667942299265925E-4</v>
      </c>
      <c r="AA3" s="14">
        <f>(C3-$AE$6)*24</f>
        <v>160.1166666666395</v>
      </c>
      <c r="AB3" s="19">
        <f t="shared" ref="AB3:AB16" si="13">EXP(-$AE$9*AA3)</f>
        <v>0.99956018515357747</v>
      </c>
      <c r="AC3" s="14">
        <f t="shared" ref="AC3:AC16" si="14">X3/AB3</f>
        <v>1.5842162342385262E-2</v>
      </c>
      <c r="AE3">
        <f>LN(2)/61.4</f>
        <v>1.1289042028663604E-2</v>
      </c>
    </row>
    <row r="4" spans="1:31" x14ac:dyDescent="0.25">
      <c r="A4" s="31" t="s">
        <v>21</v>
      </c>
      <c r="B4" s="28">
        <v>43362.584027777775</v>
      </c>
      <c r="C4" s="15">
        <v>43363.194444444445</v>
      </c>
      <c r="D4" s="16">
        <v>8.08</v>
      </c>
      <c r="E4" s="17">
        <v>6.5</v>
      </c>
      <c r="F4" s="6">
        <f t="shared" si="0"/>
        <v>0.5252</v>
      </c>
      <c r="G4" s="14">
        <f t="shared" si="1"/>
        <v>0.50999999999999979</v>
      </c>
      <c r="H4" s="6">
        <f t="shared" si="2"/>
        <v>0.73064710689155532</v>
      </c>
      <c r="I4" s="18">
        <f t="shared" si="3"/>
        <v>14.650000000081491</v>
      </c>
      <c r="J4" s="12">
        <f t="shared" si="4"/>
        <v>1.6666666666666666E-2</v>
      </c>
      <c r="K4" s="14">
        <f>1-EXP(-$AE$3*I4)</f>
        <v>0.15243221931902007</v>
      </c>
      <c r="L4" s="6">
        <f t="shared" si="5"/>
        <v>1.7341549410486025E-4</v>
      </c>
      <c r="M4" s="14">
        <f>G4/((1+K4))</f>
        <v>0.4425422957207516</v>
      </c>
      <c r="N4" s="6">
        <f t="shared" si="6"/>
        <v>0.63400460783085455</v>
      </c>
      <c r="O4" s="14">
        <f>M4*K4</f>
        <v>6.7457704279248243E-2</v>
      </c>
      <c r="P4" s="6">
        <f t="shared" si="7"/>
        <v>9.6642759901100439E-2</v>
      </c>
      <c r="Q4" s="14">
        <f t="shared" si="8"/>
        <v>0.50999999999999979</v>
      </c>
      <c r="R4" s="14">
        <v>0.9870000000000001</v>
      </c>
      <c r="S4" s="6">
        <v>1.4142135623730951E-4</v>
      </c>
      <c r="T4" s="14">
        <f>M4/R4</f>
        <v>0.44837112028444942</v>
      </c>
      <c r="U4" s="6">
        <f t="shared" si="9"/>
        <v>0.64235522897847697</v>
      </c>
      <c r="V4" s="14">
        <f>SUM($T$2:T4)</f>
        <v>1.3575874821773133</v>
      </c>
      <c r="W4" s="6">
        <f>SQRT((U4^2)+(U3^2)+(U2^2))</f>
        <v>1.1001811337043319</v>
      </c>
      <c r="X4" s="14">
        <f t="shared" si="10"/>
        <v>7.3757049286791937E-3</v>
      </c>
      <c r="Y4" s="6">
        <f t="shared" si="11"/>
        <v>1.0566743463847577E-2</v>
      </c>
      <c r="Z4" s="6">
        <f t="shared" si="12"/>
        <v>1.1165606743076548E-4</v>
      </c>
      <c r="AA4" s="14">
        <f>(C4-$AE$6)*24</f>
        <v>160.66666666668607</v>
      </c>
      <c r="AB4" s="19">
        <f t="shared" si="13"/>
        <v>0.99955867472505766</v>
      </c>
      <c r="AC4" s="14">
        <f t="shared" si="14"/>
        <v>7.378961450870288E-3</v>
      </c>
    </row>
    <row r="5" spans="1:31" x14ac:dyDescent="0.25">
      <c r="A5" s="31" t="s">
        <v>22</v>
      </c>
      <c r="B5" s="28">
        <v>43362.584374999999</v>
      </c>
      <c r="C5" s="15">
        <v>43363.217361111114</v>
      </c>
      <c r="D5" s="16">
        <v>10.199999999999999</v>
      </c>
      <c r="E5" s="17">
        <v>5.78</v>
      </c>
      <c r="F5" s="6">
        <f t="shared" si="0"/>
        <v>0.58955999999999997</v>
      </c>
      <c r="G5" s="14">
        <f t="shared" si="1"/>
        <v>2.629999999999999</v>
      </c>
      <c r="H5" s="6">
        <f t="shared" si="2"/>
        <v>0.77819737111416654</v>
      </c>
      <c r="I5" s="18">
        <f t="shared" si="3"/>
        <v>15.19166666676756</v>
      </c>
      <c r="J5" s="12">
        <f t="shared" si="4"/>
        <v>1.6666666666666666E-2</v>
      </c>
      <c r="K5" s="14">
        <f>1-EXP(-$AE$3*I5)</f>
        <v>0.15759919578073533</v>
      </c>
      <c r="L5" s="6">
        <f t="shared" si="5"/>
        <v>1.729009278987259E-4</v>
      </c>
      <c r="M5" s="14">
        <f>G5/((1+K5))</f>
        <v>2.2719435272466755</v>
      </c>
      <c r="N5" s="6">
        <f t="shared" si="6"/>
        <v>0.6722557539808427</v>
      </c>
      <c r="O5" s="14">
        <f>M5*K5</f>
        <v>0.3580564727533232</v>
      </c>
      <c r="P5" s="6">
        <f t="shared" si="7"/>
        <v>0.10594769441825209</v>
      </c>
      <c r="Q5" s="14">
        <f t="shared" si="8"/>
        <v>2.6299999999999986</v>
      </c>
      <c r="R5" s="14">
        <v>0.8514999999999997</v>
      </c>
      <c r="S5" s="6">
        <v>1.4142135623730951E-4</v>
      </c>
      <c r="T5" s="14">
        <f>M5/R5</f>
        <v>2.6681662093325618</v>
      </c>
      <c r="U5" s="6">
        <f t="shared" si="9"/>
        <v>0.78949601864906827</v>
      </c>
      <c r="V5" s="14">
        <f>SUM($T$2:T5)</f>
        <v>4.0257536915098751</v>
      </c>
      <c r="W5" s="6">
        <f>SQRT((U5^2)+(U4^2)+(U3^2)+(U2^2))</f>
        <v>1.3541427142002718</v>
      </c>
      <c r="X5" s="14">
        <f t="shared" si="10"/>
        <v>3.7865725454111258E-2</v>
      </c>
      <c r="Y5" s="6">
        <f t="shared" si="11"/>
        <v>1.120426256634738E-2</v>
      </c>
      <c r="Z5" s="6">
        <f t="shared" si="12"/>
        <v>1.2553549965565317E-4</v>
      </c>
      <c r="AA5" s="14">
        <f>(C5-$AE$6)*24</f>
        <v>161.21666666673264</v>
      </c>
      <c r="AB5" s="19">
        <f t="shared" si="13"/>
        <v>0.99955716429882036</v>
      </c>
      <c r="AC5" s="14">
        <f t="shared" si="14"/>
        <v>3.7882501178082895E-2</v>
      </c>
    </row>
    <row r="6" spans="1:31" x14ac:dyDescent="0.25">
      <c r="A6" s="31" t="s">
        <v>23</v>
      </c>
      <c r="B6" s="28">
        <v>43362.584722222222</v>
      </c>
      <c r="C6" s="15">
        <v>43363.240277777775</v>
      </c>
      <c r="D6" s="16">
        <v>36.78</v>
      </c>
      <c r="E6" s="17">
        <v>3.05</v>
      </c>
      <c r="F6" s="6">
        <f t="shared" si="0"/>
        <v>1.1217900000000001</v>
      </c>
      <c r="G6" s="14">
        <f t="shared" si="1"/>
        <v>29.21</v>
      </c>
      <c r="H6" s="6">
        <f t="shared" si="2"/>
        <v>1.2314312643866892</v>
      </c>
      <c r="I6" s="18">
        <f t="shared" si="3"/>
        <v>15.733333333279006</v>
      </c>
      <c r="J6" s="12">
        <f t="shared" si="4"/>
        <v>1.6666666666666666E-2</v>
      </c>
      <c r="K6" s="14">
        <f>1-EXP(-$AE$3*I6)</f>
        <v>0.16273467311310263</v>
      </c>
      <c r="L6" s="6">
        <f t="shared" si="5"/>
        <v>1.7238842490854297E-4</v>
      </c>
      <c r="M6" s="14">
        <f>G6/((1+K6))</f>
        <v>25.121810397029986</v>
      </c>
      <c r="N6" s="6">
        <f t="shared" si="6"/>
        <v>1.0594162100616888</v>
      </c>
      <c r="O6" s="14">
        <f>M6*K6</f>
        <v>4.0881896029700178</v>
      </c>
      <c r="P6" s="6">
        <f t="shared" si="7"/>
        <v>0.17245813485107878</v>
      </c>
      <c r="Q6" s="14">
        <f t="shared" si="8"/>
        <v>29.210000000000004</v>
      </c>
      <c r="R6" s="14">
        <v>0.79260000000000019</v>
      </c>
      <c r="S6" s="6">
        <v>1.4142135623730951E-4</v>
      </c>
      <c r="T6" s="14">
        <f>M6/R6</f>
        <v>31.695445870590436</v>
      </c>
      <c r="U6" s="6">
        <f t="shared" si="9"/>
        <v>1.33664609211758</v>
      </c>
      <c r="V6" s="14">
        <f>SUM($T$2:T6)</f>
        <v>35.72119956210031</v>
      </c>
      <c r="W6" s="6">
        <f>SQRT((U6^2)+(U5^2)+(U4^2)+(U3^2)+(U2^2))</f>
        <v>1.9027152351297547</v>
      </c>
      <c r="X6" s="14">
        <f t="shared" si="10"/>
        <v>0.41869683995049978</v>
      </c>
      <c r="Y6" s="6">
        <f t="shared" si="11"/>
        <v>1.7656936834361484E-2</v>
      </c>
      <c r="Z6" s="6">
        <f t="shared" si="12"/>
        <v>3.1176741837263136E-4</v>
      </c>
      <c r="AA6" s="14">
        <f>(C6-$AE$6)*24</f>
        <v>161.76666666660458</v>
      </c>
      <c r="AB6" s="19">
        <f t="shared" si="13"/>
        <v>0.99955565387486578</v>
      </c>
      <c r="AC6" s="14">
        <f t="shared" si="14"/>
        <v>0.41888296897464838</v>
      </c>
      <c r="AE6" s="1">
        <v>43356.5</v>
      </c>
    </row>
    <row r="7" spans="1:31" x14ac:dyDescent="0.25">
      <c r="A7" s="31" t="s">
        <v>24</v>
      </c>
      <c r="B7" s="28">
        <v>43362.585069444445</v>
      </c>
      <c r="C7" s="15">
        <v>43363.262499999997</v>
      </c>
      <c r="D7" s="16">
        <v>180.85</v>
      </c>
      <c r="E7" s="17">
        <v>1.37</v>
      </c>
      <c r="F7" s="6">
        <f t="shared" si="0"/>
        <v>2.4776449999999999</v>
      </c>
      <c r="G7" s="14">
        <f t="shared" si="1"/>
        <v>173.28</v>
      </c>
      <c r="H7" s="6">
        <f t="shared" si="2"/>
        <v>2.5291767239230238</v>
      </c>
      <c r="I7" s="18">
        <f t="shared" si="3"/>
        <v>16.258333333244082</v>
      </c>
      <c r="J7" s="12">
        <f t="shared" si="4"/>
        <v>1.6666666666666666E-2</v>
      </c>
      <c r="K7" s="14">
        <f>1-EXP(-$AE$3*I7)</f>
        <v>0.16768225691016281</v>
      </c>
      <c r="L7" s="6">
        <f t="shared" si="5"/>
        <v>1.7189365136963946E-4</v>
      </c>
      <c r="M7" s="14">
        <f>G7/((1+K7))</f>
        <v>148.39653422372035</v>
      </c>
      <c r="N7" s="6">
        <f t="shared" si="6"/>
        <v>2.1713157497434792</v>
      </c>
      <c r="O7" s="14">
        <f>M7*K7</f>
        <v>24.883465776279643</v>
      </c>
      <c r="P7" s="6">
        <f t="shared" si="7"/>
        <v>0.36498359850900619</v>
      </c>
      <c r="Q7" s="14">
        <f t="shared" si="8"/>
        <v>173.28</v>
      </c>
      <c r="R7" s="14">
        <v>0.81709999999999994</v>
      </c>
      <c r="S7" s="6">
        <v>1.4142135623730951E-4</v>
      </c>
      <c r="T7" s="14">
        <f>M7/R7</f>
        <v>181.61367546655288</v>
      </c>
      <c r="U7" s="6">
        <f t="shared" si="9"/>
        <v>2.6575298618835377</v>
      </c>
      <c r="V7" s="14">
        <f>SUM($T$2:T7)</f>
        <v>217.33487502865319</v>
      </c>
      <c r="W7" s="6">
        <f>SQRT((U7^2)+(U6^2)+(U5^2)+(U4^2)+(U3^2)+(U2^2))</f>
        <v>3.2684537984798889</v>
      </c>
      <c r="X7" s="14">
        <f t="shared" si="10"/>
        <v>2.4732755703953391</v>
      </c>
      <c r="Y7" s="6">
        <f t="shared" si="11"/>
        <v>3.6188595829057986E-2</v>
      </c>
      <c r="Z7" s="6">
        <f t="shared" si="12"/>
        <v>1.309614468078913E-3</v>
      </c>
      <c r="AA7" s="14">
        <f>(C7-$AE$6)*24</f>
        <v>162.29999999993015</v>
      </c>
      <c r="AB7" s="19">
        <f t="shared" si="13"/>
        <v>0.99955418922351358</v>
      </c>
      <c r="AC7" s="14">
        <f t="shared" si="14"/>
        <v>2.4743786750737953</v>
      </c>
    </row>
    <row r="8" spans="1:31" x14ac:dyDescent="0.25">
      <c r="A8" s="31" t="s">
        <v>25</v>
      </c>
      <c r="B8" s="28">
        <v>43362.585416666669</v>
      </c>
      <c r="C8" s="15">
        <v>43363.285416666666</v>
      </c>
      <c r="D8" s="16">
        <v>203.74</v>
      </c>
      <c r="E8" s="17">
        <v>1.29</v>
      </c>
      <c r="F8" s="6">
        <f t="shared" si="0"/>
        <v>2.6282460000000003</v>
      </c>
      <c r="G8" s="14">
        <f t="shared" si="1"/>
        <v>196.17000000000002</v>
      </c>
      <c r="H8" s="6">
        <f t="shared" si="2"/>
        <v>2.6768801227034804</v>
      </c>
      <c r="I8" s="18">
        <f t="shared" si="3"/>
        <v>16.799999999930151</v>
      </c>
      <c r="J8" s="12">
        <f t="shared" si="4"/>
        <v>1.6666666666666666E-2</v>
      </c>
      <c r="K8" s="14">
        <f>1-EXP(-$AE$3*I8)</f>
        <v>0.17275626548533285</v>
      </c>
      <c r="L8" s="6">
        <f t="shared" si="5"/>
        <v>1.7138518401393961E-4</v>
      </c>
      <c r="M8" s="14">
        <f>G8/((1+K8))</f>
        <v>167.2726087878261</v>
      </c>
      <c r="N8" s="6">
        <f t="shared" si="6"/>
        <v>2.2885788007499861</v>
      </c>
      <c r="O8" s="14">
        <f>M8*K8</f>
        <v>28.897391212173908</v>
      </c>
      <c r="P8" s="6">
        <f t="shared" si="7"/>
        <v>0.39640432558838318</v>
      </c>
      <c r="Q8" s="14">
        <f t="shared" si="8"/>
        <v>196.17000000000002</v>
      </c>
      <c r="R8" s="14">
        <v>0.81729999999999947</v>
      </c>
      <c r="S8" s="6">
        <v>1.4142135623730951E-4</v>
      </c>
      <c r="T8" s="14">
        <f>M8/R8</f>
        <v>204.66488289223813</v>
      </c>
      <c r="U8" s="6">
        <f t="shared" si="9"/>
        <v>2.8003937633728673</v>
      </c>
      <c r="V8" s="14">
        <f>SUM($T$2:T8)</f>
        <v>421.99975792089128</v>
      </c>
      <c r="W8" s="6">
        <f>SQRT((U8^2)+(U7^2)+(U6^2)+(U5^2)+(U4^2)+(U3^2)+(U2^2))</f>
        <v>4.3040673162411469</v>
      </c>
      <c r="X8" s="14">
        <f t="shared" si="10"/>
        <v>2.7878768131304352</v>
      </c>
      <c r="Y8" s="6">
        <f t="shared" si="11"/>
        <v>3.8142980012499772E-2</v>
      </c>
      <c r="Z8" s="6">
        <f t="shared" si="12"/>
        <v>1.454886924233957E-3</v>
      </c>
      <c r="AA8" s="14">
        <f>(C8-$AE$6)*24</f>
        <v>162.84999999997672</v>
      </c>
      <c r="AB8" s="19">
        <f t="shared" si="13"/>
        <v>0.99955267880405418</v>
      </c>
      <c r="AC8" s="14">
        <f t="shared" si="14"/>
        <v>2.7891244476139838</v>
      </c>
      <c r="AE8" t="s">
        <v>15</v>
      </c>
    </row>
    <row r="9" spans="1:31" x14ac:dyDescent="0.25">
      <c r="A9" s="31" t="s">
        <v>26</v>
      </c>
      <c r="B9" s="28">
        <v>43362.585763888892</v>
      </c>
      <c r="C9" s="15">
        <v>43363.308333275461</v>
      </c>
      <c r="D9" s="16">
        <v>111.27</v>
      </c>
      <c r="E9" s="17">
        <v>1.75</v>
      </c>
      <c r="F9" s="6">
        <f t="shared" si="0"/>
        <v>1.9472250000000002</v>
      </c>
      <c r="G9" s="14">
        <f t="shared" si="1"/>
        <v>103.69999999999999</v>
      </c>
      <c r="H9" s="6">
        <f t="shared" si="2"/>
        <v>2.0123854887754482</v>
      </c>
      <c r="I9" s="18">
        <f t="shared" si="3"/>
        <v>17.341665277665015</v>
      </c>
      <c r="J9" s="12">
        <f t="shared" si="4"/>
        <v>1.6666666666666666E-2</v>
      </c>
      <c r="K9" s="14">
        <f>1-EXP(-$AE$3*I9)</f>
        <v>0.17779932879529059</v>
      </c>
      <c r="L9" s="6">
        <f t="shared" si="5"/>
        <v>1.7087875351883022E-4</v>
      </c>
      <c r="M9" s="14">
        <f>G9/((1+K9))</f>
        <v>88.04555875071631</v>
      </c>
      <c r="N9" s="6">
        <f t="shared" si="6"/>
        <v>1.7106920123691356</v>
      </c>
      <c r="O9" s="14">
        <f>M9*K9</f>
        <v>15.654441249283684</v>
      </c>
      <c r="P9" s="6">
        <f t="shared" si="7"/>
        <v>0.30453176375887381</v>
      </c>
      <c r="Q9" s="14">
        <f t="shared" si="8"/>
        <v>103.69999999999999</v>
      </c>
      <c r="R9" s="14">
        <v>0.81749999999999989</v>
      </c>
      <c r="S9" s="6">
        <v>1.4142135623730951E-4</v>
      </c>
      <c r="T9" s="14">
        <f>M9/R9</f>
        <v>107.70098929751232</v>
      </c>
      <c r="U9" s="6">
        <f t="shared" si="9"/>
        <v>2.092672558944042</v>
      </c>
      <c r="V9" s="14">
        <f>SUM($T$2:T9)</f>
        <v>529.70074721840365</v>
      </c>
      <c r="W9" s="6">
        <f>SQRT((U9^2)+(U8^2)+(U7^2)+(U6^2)+(U5^2)+(U4^2)+(U3^2)+(U2^2))</f>
        <v>4.7858409816554364</v>
      </c>
      <c r="X9" s="14">
        <f t="shared" si="10"/>
        <v>1.4674259791786051</v>
      </c>
      <c r="Y9" s="6">
        <f t="shared" si="11"/>
        <v>2.8511533539485594E-2</v>
      </c>
      <c r="Z9" s="6">
        <f t="shared" si="12"/>
        <v>8.1290754477321187E-4</v>
      </c>
      <c r="AA9" s="14">
        <f>(C9-$AE$6)*24</f>
        <v>163.39999861107208</v>
      </c>
      <c r="AB9" s="19">
        <f t="shared" si="13"/>
        <v>0.99955116839069158</v>
      </c>
      <c r="AC9" s="14">
        <f t="shared" si="14"/>
        <v>1.4680849020878106</v>
      </c>
      <c r="AE9">
        <f>LN(2)/252288</f>
        <v>2.7474441137110973E-6</v>
      </c>
    </row>
    <row r="10" spans="1:31" x14ac:dyDescent="0.25">
      <c r="A10" s="31" t="s">
        <v>27</v>
      </c>
      <c r="B10" s="28">
        <v>43362.586111111108</v>
      </c>
      <c r="C10" s="15">
        <v>43363.33124994213</v>
      </c>
      <c r="D10" s="16">
        <v>50.91</v>
      </c>
      <c r="E10" s="17">
        <v>2.59</v>
      </c>
      <c r="F10" s="6">
        <f t="shared" si="0"/>
        <v>1.3185689999999999</v>
      </c>
      <c r="G10" s="14">
        <f t="shared" si="1"/>
        <v>43.339999999999996</v>
      </c>
      <c r="H10" s="6">
        <f t="shared" si="2"/>
        <v>1.4130231288163686</v>
      </c>
      <c r="I10" s="18">
        <f t="shared" si="3"/>
        <v>17.883331944525708</v>
      </c>
      <c r="J10" s="12">
        <f t="shared" si="4"/>
        <v>1.6666666666666666E-2</v>
      </c>
      <c r="K10" s="14">
        <f>1-EXP(-$AE$3*I10)</f>
        <v>0.18281166127550041</v>
      </c>
      <c r="L10" s="6">
        <f t="shared" si="5"/>
        <v>1.7037434806386957E-4</v>
      </c>
      <c r="M10" s="14">
        <f>G10/((1+K10))</f>
        <v>36.641505506687125</v>
      </c>
      <c r="N10" s="6">
        <f t="shared" si="6"/>
        <v>1.1951186770001703</v>
      </c>
      <c r="O10" s="14">
        <f>M10*K10</f>
        <v>6.6984944933128698</v>
      </c>
      <c r="P10" s="6">
        <f t="shared" si="7"/>
        <v>0.21857080132326751</v>
      </c>
      <c r="Q10" s="14">
        <f t="shared" si="8"/>
        <v>43.339999999999996</v>
      </c>
      <c r="R10" s="14">
        <v>0.81270000000000042</v>
      </c>
      <c r="S10" s="6">
        <v>1.4142135623730951E-4</v>
      </c>
      <c r="T10" s="14">
        <f>M10/R10</f>
        <v>45.086139420065344</v>
      </c>
      <c r="U10" s="6">
        <f t="shared" si="9"/>
        <v>1.4705742410897369</v>
      </c>
      <c r="V10" s="14">
        <f>SUM($T$2:T10)</f>
        <v>574.78688663846901</v>
      </c>
      <c r="W10" s="6">
        <f>SQRT((U10^2)+(U9^2)+(U8^2)+(U7^2)+(U6^2)+(U5^2)+(U4^2)+(U3^2)+(U2^2))</f>
        <v>5.0066817853993202</v>
      </c>
      <c r="X10" s="14">
        <f t="shared" si="10"/>
        <v>0.6106917584447854</v>
      </c>
      <c r="Y10" s="6">
        <f t="shared" si="11"/>
        <v>1.9918644616669503E-2</v>
      </c>
      <c r="Z10" s="6">
        <f t="shared" si="12"/>
        <v>3.9675240336517698E-4</v>
      </c>
      <c r="AA10" s="14">
        <f>(C10-$AE$6)*24</f>
        <v>163.94999861111864</v>
      </c>
      <c r="AB10" s="19">
        <f t="shared" si="13"/>
        <v>0.99954965797579687</v>
      </c>
      <c r="AC10" s="14">
        <f t="shared" si="14"/>
        <v>0.61096690251638575</v>
      </c>
    </row>
    <row r="11" spans="1:31" x14ac:dyDescent="0.25">
      <c r="A11" s="31" t="s">
        <v>28</v>
      </c>
      <c r="B11" s="28">
        <v>43362.586458333331</v>
      </c>
      <c r="C11" s="15">
        <v>43363.354166608799</v>
      </c>
      <c r="D11" s="16">
        <v>23.06</v>
      </c>
      <c r="E11" s="17">
        <v>3.85</v>
      </c>
      <c r="F11" s="6">
        <f>D11*(E11/100)</f>
        <v>0.88780999999999999</v>
      </c>
      <c r="G11" s="14">
        <f t="shared" si="1"/>
        <v>15.489999999999998</v>
      </c>
      <c r="H11" s="6">
        <f t="shared" si="2"/>
        <v>1.0228473742005695</v>
      </c>
      <c r="I11" s="18">
        <f t="shared" si="3"/>
        <v>18.424998611211777</v>
      </c>
      <c r="J11" s="12">
        <f t="shared" si="4"/>
        <v>1.6666666666666666E-2</v>
      </c>
      <c r="K11" s="14">
        <f>1-EXP(-$AE$3*I11)</f>
        <v>0.18779343737320098</v>
      </c>
      <c r="L11" s="6">
        <f t="shared" si="5"/>
        <v>1.6987195977220408E-4</v>
      </c>
      <c r="M11" s="14">
        <f>G11/((1+K11))</f>
        <v>13.040988030929061</v>
      </c>
      <c r="N11" s="6">
        <f t="shared" si="6"/>
        <v>0.861213161749533</v>
      </c>
      <c r="O11" s="14">
        <f>M11*K11</f>
        <v>2.44901196907094</v>
      </c>
      <c r="P11" s="6">
        <f t="shared" si="7"/>
        <v>0.16174535126143558</v>
      </c>
      <c r="Q11" s="14">
        <f t="shared" si="8"/>
        <v>15.49</v>
      </c>
      <c r="R11" s="14">
        <v>0.81840000000000046</v>
      </c>
      <c r="S11" s="6">
        <v>1.4142135623730951E-4</v>
      </c>
      <c r="T11" s="14">
        <f>M11/R11</f>
        <v>15.934736108173331</v>
      </c>
      <c r="U11" s="6">
        <f t="shared" si="9"/>
        <v>1.0523168500670341</v>
      </c>
      <c r="V11" s="14">
        <f>SUM($T$2:T11)</f>
        <v>590.72162274664231</v>
      </c>
      <c r="W11" s="6">
        <f>SQRT((U11^2)+(U10^2)+(U9^2)+(U8^2)+(U7^2)+(U6^2)+(U5^2)+(U4^2)+(U3^2)+(U2^2))</f>
        <v>5.1160759624134133</v>
      </c>
      <c r="X11" s="14">
        <f t="shared" si="10"/>
        <v>0.21734980051548433</v>
      </c>
      <c r="Y11" s="6">
        <f t="shared" si="11"/>
        <v>1.435355269582555E-2</v>
      </c>
      <c r="Z11" s="6">
        <f t="shared" si="12"/>
        <v>2.0602447499184091E-4</v>
      </c>
      <c r="AA11" s="14">
        <f>(C11-$AE$6)*24</f>
        <v>164.49999861116521</v>
      </c>
      <c r="AB11" s="19">
        <f t="shared" si="13"/>
        <v>0.99954814756318466</v>
      </c>
      <c r="AC11" s="14">
        <f t="shared" si="14"/>
        <v>0.2174480549489938</v>
      </c>
    </row>
    <row r="12" spans="1:31" x14ac:dyDescent="0.25">
      <c r="A12" s="31" t="s">
        <v>29</v>
      </c>
      <c r="B12" s="28">
        <v>43362.586805555555</v>
      </c>
      <c r="C12" s="15">
        <v>43363.37708327546</v>
      </c>
      <c r="D12" s="16">
        <v>12.72</v>
      </c>
      <c r="E12" s="17">
        <v>5.18</v>
      </c>
      <c r="F12" s="6">
        <f>D12*(E12/100)</f>
        <v>0.65889600000000004</v>
      </c>
      <c r="G12" s="14">
        <f t="shared" si="1"/>
        <v>5.15</v>
      </c>
      <c r="H12" s="6">
        <f t="shared" si="2"/>
        <v>0.83195798789662445</v>
      </c>
      <c r="I12" s="18">
        <f t="shared" si="3"/>
        <v>18.966665277723223</v>
      </c>
      <c r="J12" s="12">
        <f t="shared" si="4"/>
        <v>1.6666666666666666E-2</v>
      </c>
      <c r="K12" s="14">
        <f>1-EXP(-$AE$3*I12)</f>
        <v>0.19274484336744824</v>
      </c>
      <c r="L12" s="6">
        <f t="shared" si="5"/>
        <v>1.6937157950993052E-4</v>
      </c>
      <c r="M12" s="14">
        <f>G12/((1+K12))</f>
        <v>4.3177717586773445</v>
      </c>
      <c r="N12" s="6">
        <f t="shared" si="6"/>
        <v>0.69752579585403995</v>
      </c>
      <c r="O12" s="14">
        <f>M12*K12</f>
        <v>0.83222824132265627</v>
      </c>
      <c r="P12" s="6">
        <f t="shared" si="7"/>
        <v>0.13444648921812197</v>
      </c>
      <c r="Q12" s="14">
        <f t="shared" si="8"/>
        <v>5.15</v>
      </c>
      <c r="R12" s="14">
        <v>0.79239999999999977</v>
      </c>
      <c r="S12" s="6">
        <v>1.4142135623730951E-4</v>
      </c>
      <c r="T12" s="14">
        <f>M12/R12</f>
        <v>5.4489800084267364</v>
      </c>
      <c r="U12" s="6">
        <f t="shared" si="9"/>
        <v>0.88027034518056546</v>
      </c>
      <c r="V12" s="14">
        <f>SUM($T$2:T12)</f>
        <v>596.17060275506901</v>
      </c>
      <c r="W12" s="6">
        <f>SQRT((U12^2)+(U11^2)+(U10^2)+(U9^2)+(U8^2)+(U7^2)+(U6^2)+(U5^2)+(U4^2)+(U3^2)+(U2^2))</f>
        <v>5.1912531371325601</v>
      </c>
      <c r="X12" s="14">
        <f t="shared" si="10"/>
        <v>7.1962862644622413E-2</v>
      </c>
      <c r="Y12" s="6">
        <f t="shared" si="11"/>
        <v>1.1625429930900667E-2</v>
      </c>
      <c r="Z12" s="6">
        <f t="shared" si="12"/>
        <v>1.351506210782811E-4</v>
      </c>
      <c r="AA12" s="14">
        <f>(C12-$AE$6)*24</f>
        <v>165.04999861103715</v>
      </c>
      <c r="AB12" s="19">
        <f t="shared" si="13"/>
        <v>0.9995466371528553</v>
      </c>
      <c r="AC12" s="14">
        <f t="shared" si="14"/>
        <v>7.1995502730722027E-2</v>
      </c>
    </row>
    <row r="13" spans="1:31" x14ac:dyDescent="0.25">
      <c r="A13" s="31" t="s">
        <v>30</v>
      </c>
      <c r="B13" s="28">
        <v>43362.587152777778</v>
      </c>
      <c r="C13" s="15">
        <v>43363.399999942128</v>
      </c>
      <c r="D13" s="16">
        <v>10.27</v>
      </c>
      <c r="E13" s="17">
        <v>5.76</v>
      </c>
      <c r="F13" s="6">
        <f t="shared" si="0"/>
        <v>0.59155199999999997</v>
      </c>
      <c r="G13" s="14">
        <f t="shared" si="1"/>
        <v>2.6999999999999993</v>
      </c>
      <c r="H13" s="6">
        <f t="shared" si="2"/>
        <v>0.77970758846698407</v>
      </c>
      <c r="I13" s="18">
        <f t="shared" si="3"/>
        <v>19.508331944409292</v>
      </c>
      <c r="J13" s="12">
        <f t="shared" si="4"/>
        <v>1.6666666666666666E-2</v>
      </c>
      <c r="K13" s="14">
        <f>1-EXP(-$AE$3*I13)</f>
        <v>0.19766606440485879</v>
      </c>
      <c r="L13" s="6">
        <f t="shared" si="5"/>
        <v>1.6887319818708371E-4</v>
      </c>
      <c r="M13" s="14">
        <f>G13/((1+K13))</f>
        <v>2.2543846571637451</v>
      </c>
      <c r="N13" s="6">
        <f t="shared" si="6"/>
        <v>0.6510253765575007</v>
      </c>
      <c r="O13" s="14">
        <f>M13*K13</f>
        <v>0.44561534283625437</v>
      </c>
      <c r="P13" s="6">
        <f t="shared" si="7"/>
        <v>0.12868618715199584</v>
      </c>
      <c r="Q13" s="14">
        <f t="shared" si="8"/>
        <v>2.6999999999999993</v>
      </c>
      <c r="R13" s="14">
        <v>0.81340000000000057</v>
      </c>
      <c r="S13" s="6">
        <v>1.4142135623730951E-4</v>
      </c>
      <c r="T13" s="14">
        <f>M13/R13</f>
        <v>2.7715572377228224</v>
      </c>
      <c r="U13" s="6">
        <f t="shared" si="9"/>
        <v>0.80037557726670205</v>
      </c>
      <c r="V13" s="14">
        <f>SUM($T$2:T13)</f>
        <v>598.94215999279186</v>
      </c>
      <c r="W13" s="6">
        <f>SQRT((U13^2)+(U12^2)+(U11^2)+(U10^2)+(U9^2)+(U8^2)+(U7^2)+(U6^2)+(U5^2)+(U4^2)+(U3^2)+(U2^2))</f>
        <v>5.252590808208236</v>
      </c>
      <c r="X13" s="14">
        <f t="shared" si="10"/>
        <v>3.7573077619395753E-2</v>
      </c>
      <c r="Y13" s="6">
        <f t="shared" si="11"/>
        <v>1.0850422942625013E-2</v>
      </c>
      <c r="Z13" s="6">
        <f t="shared" si="12"/>
        <v>1.1773167803384325E-4</v>
      </c>
      <c r="AA13" s="14">
        <f>(C13-$AE$6)*24</f>
        <v>165.59999861108372</v>
      </c>
      <c r="AB13" s="19">
        <f t="shared" si="13"/>
        <v>0.99954512674480778</v>
      </c>
      <c r="AC13" s="14">
        <f t="shared" si="14"/>
        <v>3.7590176385291378E-2</v>
      </c>
    </row>
    <row r="14" spans="1:31" x14ac:dyDescent="0.25">
      <c r="A14" s="31" t="s">
        <v>31</v>
      </c>
      <c r="B14" s="28">
        <v>43362.587500000001</v>
      </c>
      <c r="C14" s="15">
        <v>43363.422916608797</v>
      </c>
      <c r="D14" s="16">
        <v>9.52</v>
      </c>
      <c r="E14" s="17">
        <v>5.99</v>
      </c>
      <c r="F14" s="6">
        <f t="shared" si="0"/>
        <v>0.57024799999999998</v>
      </c>
      <c r="G14" s="14">
        <f t="shared" si="1"/>
        <v>1.9499999999999993</v>
      </c>
      <c r="H14" s="6">
        <f t="shared" si="2"/>
        <v>0.76367069887026562</v>
      </c>
      <c r="I14" s="18">
        <f t="shared" si="3"/>
        <v>20.049998611095361</v>
      </c>
      <c r="J14" s="12">
        <f t="shared" si="4"/>
        <v>1.6666666666666666E-2</v>
      </c>
      <c r="K14" s="14">
        <f>1-EXP(-$AE$3*I14)</f>
        <v>0.20255728449857768</v>
      </c>
      <c r="L14" s="6">
        <f t="shared" si="5"/>
        <v>1.6837680675821891E-4</v>
      </c>
      <c r="M14" s="14">
        <f>G14/((1+K14))</f>
        <v>1.6215443747555676</v>
      </c>
      <c r="N14" s="6">
        <f t="shared" si="6"/>
        <v>0.63504036689420817</v>
      </c>
      <c r="O14" s="14">
        <f>M14*K14</f>
        <v>0.32845562524443178</v>
      </c>
      <c r="P14" s="6">
        <f t="shared" si="7"/>
        <v>0.12863234202780499</v>
      </c>
      <c r="Q14" s="14">
        <f t="shared" si="8"/>
        <v>1.9499999999999993</v>
      </c>
      <c r="R14" s="14">
        <v>0.81210000000000004</v>
      </c>
      <c r="S14" s="6">
        <v>1.4142135623730951E-4</v>
      </c>
      <c r="T14" s="14">
        <f>M14/R14</f>
        <v>1.9967299282792359</v>
      </c>
      <c r="U14" s="6">
        <f t="shared" si="9"/>
        <v>0.78197319255820652</v>
      </c>
      <c r="V14" s="14">
        <f>SUM($T$2:T14)</f>
        <v>600.93888992107111</v>
      </c>
      <c r="W14" s="6">
        <f>SQRT((U14^2)+(U13^2)+(U12^2)+(U11^2)+(U10^2)+(U9^2)+(U8^2)+(U7^2)+(U6^2)+(U5^2)+(U4^2)+(U3^2)+(U2^2))</f>
        <v>5.310479476690718</v>
      </c>
      <c r="X14" s="14">
        <f t="shared" si="10"/>
        <v>2.702573957925946E-2</v>
      </c>
      <c r="Y14" s="6">
        <f t="shared" si="11"/>
        <v>1.0584006114903469E-2</v>
      </c>
      <c r="Z14" s="6">
        <f t="shared" si="12"/>
        <v>1.1202118544031401E-4</v>
      </c>
      <c r="AA14" s="14">
        <f>(C14-$AE$6)*24</f>
        <v>166.14999861113029</v>
      </c>
      <c r="AB14" s="19">
        <f t="shared" si="13"/>
        <v>0.99954361633904265</v>
      </c>
      <c r="AC14" s="14">
        <f t="shared" si="14"/>
        <v>2.7038079316883356E-2</v>
      </c>
    </row>
    <row r="15" spans="1:31" x14ac:dyDescent="0.25">
      <c r="A15" s="31" t="s">
        <v>32</v>
      </c>
      <c r="B15" s="28">
        <v>43362.587847222225</v>
      </c>
      <c r="C15" s="15">
        <v>43363.445833275466</v>
      </c>
      <c r="D15" s="16">
        <v>7.84</v>
      </c>
      <c r="E15" s="17">
        <v>6.59</v>
      </c>
      <c r="F15" s="6">
        <f t="shared" si="0"/>
        <v>0.516656</v>
      </c>
      <c r="G15" s="14">
        <f t="shared" si="1"/>
        <v>0.26999999999999957</v>
      </c>
      <c r="H15" s="6">
        <f t="shared" si="2"/>
        <v>0.72452990079430124</v>
      </c>
      <c r="I15" s="18">
        <f t="shared" si="3"/>
        <v>20.591665277781431</v>
      </c>
      <c r="J15" s="12">
        <f t="shared" si="4"/>
        <v>1.6666666666666666E-2</v>
      </c>
      <c r="K15" s="14">
        <f>1-EXP(-$AE$3*I15)</f>
        <v>0.20741868654155249</v>
      </c>
      <c r="L15" s="6">
        <f t="shared" si="5"/>
        <v>1.6788239622154218E-4</v>
      </c>
      <c r="M15" s="14">
        <f>G15/((1+K15))</f>
        <v>0.22361754295303238</v>
      </c>
      <c r="N15" s="6">
        <f t="shared" si="6"/>
        <v>0.60006519845009987</v>
      </c>
      <c r="O15" s="14">
        <f>M15*K15</f>
        <v>4.6382457046967175E-2</v>
      </c>
      <c r="P15" s="6">
        <f t="shared" si="7"/>
        <v>0.12446474096350119</v>
      </c>
      <c r="Q15" s="14">
        <f t="shared" si="8"/>
        <v>0.26999999999999957</v>
      </c>
      <c r="R15" s="14">
        <v>0.81299999999999972</v>
      </c>
      <c r="S15" s="6">
        <v>1.4142135623730951E-4</v>
      </c>
      <c r="T15" s="14">
        <f>M15/R15</f>
        <v>0.27505232835551346</v>
      </c>
      <c r="U15" s="6">
        <f t="shared" si="9"/>
        <v>0.73808757652012236</v>
      </c>
      <c r="V15" s="14">
        <f>SUM($T$2:T15)</f>
        <v>601.21394224942662</v>
      </c>
      <c r="W15" s="6">
        <f>SQRT((U15^2)+(U14^2)+(U13^2)+(U12^2)+(U11^2)+(U10^2)+(U9^2)+(U8^2)+(U7^2)+(U6^2)+(U5^2)+(U4^2)+(U3^2)+(U2^2))</f>
        <v>5.3615264191241909</v>
      </c>
      <c r="X15" s="14">
        <f t="shared" si="10"/>
        <v>3.7269590492172064E-3</v>
      </c>
      <c r="Y15" s="6">
        <f t="shared" si="11"/>
        <v>1.0001086640834999E-2</v>
      </c>
      <c r="Z15" s="6">
        <f t="shared" si="12"/>
        <v>1.0002173399748829E-4</v>
      </c>
      <c r="AA15" s="14">
        <f>(C15-$AE$6)*24</f>
        <v>166.69999861117685</v>
      </c>
      <c r="AB15" s="19">
        <f t="shared" si="13"/>
        <v>0.99954210593555992</v>
      </c>
      <c r="AC15" s="14">
        <f t="shared" si="14"/>
        <v>3.7286663834224529E-3</v>
      </c>
    </row>
    <row r="16" spans="1:31" x14ac:dyDescent="0.25">
      <c r="A16" s="31" t="s">
        <v>33</v>
      </c>
      <c r="B16" s="28">
        <v>43362.588194444441</v>
      </c>
      <c r="C16" s="15">
        <v>43363.467361111114</v>
      </c>
      <c r="D16" s="16">
        <v>8.59</v>
      </c>
      <c r="E16" s="17">
        <v>6.3</v>
      </c>
      <c r="F16" s="6">
        <f t="shared" si="0"/>
        <v>0.54117000000000004</v>
      </c>
      <c r="G16" s="14">
        <f t="shared" si="1"/>
        <v>1.0199999999999996</v>
      </c>
      <c r="H16" s="6">
        <f t="shared" si="2"/>
        <v>0.74220962248478017</v>
      </c>
      <c r="I16" s="18">
        <f t="shared" si="3"/>
        <v>21.10000000015134</v>
      </c>
      <c r="J16" s="12">
        <f t="shared" si="4"/>
        <v>1.6666666666666666E-2</v>
      </c>
      <c r="K16" s="14">
        <f>1-EXP(-$AE$3*I16)</f>
        <v>0.21195397762972157</v>
      </c>
      <c r="L16" s="6">
        <f t="shared" si="5"/>
        <v>1.6742020349778936E-4</v>
      </c>
      <c r="M16" s="14">
        <f>G16/((1+K16))</f>
        <v>0.84161611647569667</v>
      </c>
      <c r="N16" s="6">
        <f t="shared" si="6"/>
        <v>0.61240779227696862</v>
      </c>
      <c r="O16" s="14">
        <f>M16*K16</f>
        <v>0.17838388352430296</v>
      </c>
      <c r="P16" s="6">
        <f t="shared" si="7"/>
        <v>0.12980234398164045</v>
      </c>
      <c r="Q16" s="14">
        <f t="shared" si="8"/>
        <v>1.0199999999999996</v>
      </c>
      <c r="R16" s="14">
        <v>0.80999999999999961</v>
      </c>
      <c r="S16" s="6">
        <v>1.4142135623730951E-4</v>
      </c>
      <c r="T16" s="14">
        <f>M16/R16</f>
        <v>1.0390322425625891</v>
      </c>
      <c r="U16" s="6">
        <f t="shared" si="9"/>
        <v>0.75605902457475205</v>
      </c>
      <c r="V16" s="14">
        <f>SUM($T$2:T16)</f>
        <v>602.25297449198922</v>
      </c>
      <c r="W16" s="6">
        <f>SQRT((U16^2)+(U15^2)+(U14^2)+(U13^2)+(U12^2)+(U11^2)+(U10^2)+(U9^2)+(U8^2)+(U7^2)+(U6^2)+(U5^2)+(U4^2)+(U3^2)+(U2^2))</f>
        <v>5.4145720783463211</v>
      </c>
      <c r="X16" s="14">
        <f t="shared" si="10"/>
        <v>1.4026935274594945E-2</v>
      </c>
      <c r="Y16" s="6">
        <f t="shared" si="11"/>
        <v>1.0206796537949477E-2</v>
      </c>
      <c r="Z16" s="6">
        <f t="shared" si="12"/>
        <v>1.0417869556709744E-4</v>
      </c>
      <c r="AA16" s="14">
        <f>(C16-$AE$6)*24</f>
        <v>167.21666666673264</v>
      </c>
      <c r="AB16" s="19">
        <f t="shared" si="13"/>
        <v>0.99954068706994725</v>
      </c>
      <c r="AC16" s="14">
        <f t="shared" si="14"/>
        <v>1.403338098793506E-2</v>
      </c>
    </row>
    <row r="17" spans="1:29" ht="15.75" thickBot="1" x14ac:dyDescent="0.3">
      <c r="A17" s="32" t="s">
        <v>11</v>
      </c>
      <c r="B17" s="28">
        <v>43362.583333333336</v>
      </c>
      <c r="C17" s="15">
        <v>43363.491666608796</v>
      </c>
      <c r="D17" s="16">
        <v>7.57</v>
      </c>
      <c r="E17" s="17">
        <v>6.71</v>
      </c>
      <c r="F17" s="6">
        <f t="shared" si="0"/>
        <v>0.50794699999999993</v>
      </c>
      <c r="G17" s="14">
        <f t="shared" si="1"/>
        <v>0</v>
      </c>
      <c r="H17" s="6">
        <f t="shared" si="2"/>
        <v>0.71834553636672638</v>
      </c>
      <c r="I17" s="18">
        <f t="shared" si="3"/>
        <v>21.799998611037154</v>
      </c>
      <c r="J17" s="12">
        <f t="shared" si="4"/>
        <v>1.6666666666666666E-2</v>
      </c>
      <c r="K17" s="14">
        <f>1-EXP(-$AE$3*I17)</f>
        <v>0.21815682384145507</v>
      </c>
      <c r="L17" s="6">
        <f t="shared" si="5"/>
        <v>1.6678657319654149E-4</v>
      </c>
      <c r="M17" s="14">
        <f>G17/((1+K17))</f>
        <v>0</v>
      </c>
      <c r="N17" s="6" t="e">
        <f t="shared" si="6"/>
        <v>#DIV/0!</v>
      </c>
      <c r="O17" s="14">
        <f>M17*K17</f>
        <v>0</v>
      </c>
      <c r="P17" s="6" t="e">
        <f t="shared" si="7"/>
        <v>#DIV/0!</v>
      </c>
      <c r="Q17" s="14">
        <f t="shared" si="8"/>
        <v>0</v>
      </c>
      <c r="R17" s="14"/>
      <c r="S17" s="6">
        <v>1.4142135623730951E-4</v>
      </c>
      <c r="T17" s="14"/>
      <c r="U17" s="6"/>
      <c r="V17" s="14"/>
      <c r="W17" s="6"/>
      <c r="X17" s="14">
        <f t="shared" si="10"/>
        <v>0</v>
      </c>
      <c r="Y17" s="6"/>
      <c r="Z17" s="6"/>
      <c r="AA17" s="14"/>
      <c r="AB17" s="14"/>
      <c r="AC17" s="14"/>
    </row>
    <row r="22" spans="1:29" x14ac:dyDescent="0.25">
      <c r="Y22" s="13" t="s">
        <v>49</v>
      </c>
    </row>
    <row r="23" spans="1:29" x14ac:dyDescent="0.25">
      <c r="W23" t="s">
        <v>48</v>
      </c>
      <c r="X23" s="3">
        <f>SUM(X2:X17)</f>
        <v>8.1902711955425627</v>
      </c>
      <c r="Y23" s="3">
        <f>SQRT(SUM(Z2:Z16))</f>
        <v>7.4328298896554457E-2</v>
      </c>
      <c r="Z23" s="3"/>
      <c r="AB23" s="3"/>
      <c r="AC23">
        <f>SUM(AC2:AC16)</f>
        <v>8.1939374246658829</v>
      </c>
    </row>
    <row r="27" spans="1:29" x14ac:dyDescent="0.25">
      <c r="G27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CT32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2021-06-16T16:58:12Z</dcterms:modified>
</cp:coreProperties>
</file>